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BB9A27DB-2F8E-44B3-88DB-0BD31D7A2FEA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G47" i="5"/>
  <c r="E14" i="6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I44" i="5" l="1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<sst xmlns="http://schemas.openxmlformats.org/spreadsheetml/2006/main" count="286" uniqueCount="201">
  <si>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</si>
  <si>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</si>
  <si>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</si>
  <si>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</si>
  <si>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</si>
  <si>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</si>
  <si>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</si>
  <si>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</si>
  <si>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</si>
  <si>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</si>
  <si>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</si>
  <si>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</si>
  <si>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</si>
  <si>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</si>
  <si>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</si>
  <si>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</si>
  <si>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</si>
  <si>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</si>
  <si>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</si>
  <si>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</si>
  <si>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</si>
  <si>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</si>
  <si>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</si>
  <si>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</si>
  <si>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</si>
  <si>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</si>
  <si>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</si>
  <si>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</si>
  <si>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</si>
  <si>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</si>
  <si>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</si>
  <si>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</si>
  <si>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</si>
  <si>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</si>
  <si>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</si>
  <si>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</si>
  <si>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</si>
  <si>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</si>
  <si>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</si>
  <si>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</si>
  <si>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</si>
  <si>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</si>
  <si>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</si>
  <si>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</si>
  <si>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</si>
  <si>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</si>
  <si>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</si>
  <si>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</si>
  <si>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</si>
  <si>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</si>
  <si>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</si>
  <si>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</si>
  <si>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</si>
  <si>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</si>
  <si>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</si>
  <si>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</si>
  <si>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</si>
  <si>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</si>
  <si>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</si>
  <si>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</si>
  <si>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</si>
  <si>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</si>
  <si>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</si>
  <si>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</si>
  <si>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</si>
  <si>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</si>
  <si>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</si>
  <si>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</si>
  <si>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</si>
  <si>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</si>
  <si>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</si>
  <si>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</si>
  <si>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</si>
  <si>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</si>
  <si>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</si>
  <si>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</si>
  <si>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</si>
  <si>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</si>
  <si>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</si>
  <si>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</si>
  <si>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</si>
  <si>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</si>
  <si>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</si>
  <si>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</si>
  <si>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</si>
  <si>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</si>
  <si>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</si>
  <si>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</si>
  <si>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</si>
  <si>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</si>
  <si>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</si>
  <si>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</si>
  <si>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</si>
  <si>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</si>
  <si>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</si>
  <si>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</si>
  <si>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</si>
  <si>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</si>
  <si>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</si>
  <si>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</si>
  <si>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</si>
  <si>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</si>
  <si>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</si>
  <si>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</si>
  <si>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</si>
  <si>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</si>
  <si>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</si>
  <si>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</si>
  <si>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</si>
  <si>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</si>
  <si>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</si>
  <si>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</si>
  <si>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</si>
  <si>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</si>
  <si>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</si>
  <si>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</si>
  <si>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</si>
  <si>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</si>
  <si>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</si>
  <si>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</si>
  <si>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</si>
  <si>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</si>
  <si>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</si>
  <si>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</si>
  <si>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</si>
  <si>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</si>
  <si>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</si>
  <si>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</si>
  <si>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</si>
  <si>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</si>
  <si>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</si>
  <si>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</si>
  <si>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</si>
  <si>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</si>
  <si>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</si>
  <si>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</si>
  <si>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</si>
  <si>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</si>
  <si>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</si>
  <si>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</si>
  <si>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</si>
  <si>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</si>
  <si>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</si>
  <si>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</si>
  <si>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</si>
  <si>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</si>
  <si>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</si>
  <si>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</si>
  <si>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</si>
  <si>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</si>
  <si>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</si>
  <si>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</si>
  <si>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</si>
  <si>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</si>
  <si>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</si>
  <si>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</si>
  <si>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</si>
  <si>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</si>
  <si>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</si>
  <si>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</si>
  <si>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</si>
  <si>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</si>
  <si>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</si>
  <si>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</si>
  <si>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</si>
  <si>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</si>
  <si>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</si>
  <si>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</si>
  <si>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</si>
  <si>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</si>
  <si>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</si>
  <si>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</si>
  <si>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</si>
  <si>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</si>
  <si>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</si>
  <si>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</si>
  <si>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</si>
  <si>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</si>
  <si>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</si>
  <si>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</si>
  <si>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</si>
  <si>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</si>
  <si>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</si>
  <si>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</si>
  <si>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</si>
  <si>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</si>
  <si>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</si>
  <si>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</si>
  <si>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</si>
  <si>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</si>
  <si>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</si>
  <si>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Bruck</t>
  </si>
  <si>
    <t>Stand: 15.02.2023</t>
  </si>
  <si>
    <t>Die Gemeinde Bruck setzt sich folgende Ziele:</t>
  </si>
  <si>
    <t>Alxing</t>
  </si>
  <si>
    <t>Bruck</t>
  </si>
  <si>
    <t>Einharding</t>
  </si>
  <si>
    <t>Pienzenau</t>
  </si>
  <si>
    <t>Pullenhofen</t>
  </si>
  <si>
    <t>Taglaching</t>
  </si>
  <si>
    <t>Wildenholzen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</si>
</sst>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6494</c:v>
                </c:pt>
                <c:pt idx="1">
                  <c:v>5885.3889095127597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8579.52</c:v>
                </c:pt>
                <c:pt idx="1">
                  <c:v>11498.579461086087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222.73</c:v>
                </c:pt>
                <c:pt idx="1">
                  <c:v>248.54518026499997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8044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7252</c:v>
                </c:pt>
                <c:pt idx="1">
                  <c:v>17632.513550863845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15296</c:v>
                </c:pt>
                <c:pt idx="1">
                  <c:v>17632.513550863845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1519.4</c:v>
                </c:pt>
                <c:pt idx="1">
                  <c:v>1260.2095636156889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2046</c:v>
                </c:pt>
                <c:pt idx="1">
                  <c:v>2295.0125565533062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172.22</c:v>
                </c:pt>
                <c:pt idx="1">
                  <c:v>117.8923741386694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2841.2519083969464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11650</c:v>
                </c:pt>
                <c:pt idx="1">
                  <c:v>11650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5930.36</c:v>
                </c:pt>
                <c:pt idx="1">
                  <c:v>6514.3664027046107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4231.8032522073227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17.633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15.296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15 %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17632.513550863845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17632.513550863845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17632.513550863845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6494</v>
      </c>
      <c r="E78" s="177">
        <f>LOOKUP('Basis-Annahmen'!E5,'Nachfrage &amp; Erzeugung'!D36:G36,'Nachfrage &amp; Erzeugung'!D38:G38)</f>
        <v>5885.3889095127597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8579.52</v>
      </c>
      <c r="E79" s="177">
        <f>LOOKUP('Basis-Annahmen'!E5,'Nachfrage &amp; Erzeugung'!D36:G36,'Nachfrage &amp; Erzeugung'!D39:G39)</f>
        <v>11498.579461086087</v>
      </c>
      <c r="F79" s="175"/>
      <c r="G79" s="176" t="s">
        <v>55</v>
      </c>
      <c r="H79" s="177">
        <f>'Nachfrage &amp; Erzeugung'!C46</f>
        <v>8044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222.73</v>
      </c>
      <c r="E80" s="177">
        <f>LOOKUP('Basis-Annahmen'!E5,'Nachfrage &amp; Erzeugung'!D36:G36,'Nachfrage &amp; Erzeugung'!D40:G40)</f>
        <v>248.54518026499997</v>
      </c>
      <c r="F80" s="175"/>
      <c r="G80" s="176" t="str">
        <f>'Nachfrage &amp; Erzeugung'!B47</f>
        <v>Nicht erneuerbare Wärmeerzeugung</v>
      </c>
      <c r="H80" s="177">
        <f>MAX(0,H82-H79)</f>
        <v>7252</v>
      </c>
      <c r="I80" s="177">
        <f>MAX(0,I82-I79)</f>
        <v>17632.513550863845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15296</v>
      </c>
      <c r="E82" s="177">
        <f>LOOKUP('Basis-Annahmen'!E5,'Nachfrage &amp; Erzeugung'!D36:G36,'Nachfrage &amp; Erzeugung'!D37:G37)</f>
        <v>17632.513550863845</v>
      </c>
      <c r="F82" s="175"/>
      <c r="G82" s="176" t="s">
        <v>82</v>
      </c>
      <c r="H82" s="177">
        <f>'Nachfrage &amp; Erzeugung'!C37</f>
        <v>15296</v>
      </c>
      <c r="I82" s="177">
        <f>LOOKUP('Basis-Annahmen'!E5,'Nachfrage &amp; Erzeugung'!D36:G36,'Nachfrage &amp; Erzeugung'!D37:G37)</f>
        <v>17632.513550863845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0.15275323946547104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6.514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10 %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44 %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45000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11055.75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30219.984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11650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11650</v>
      </c>
      <c r="G32" s="256"/>
      <c r="H32" s="248">
        <f>SUM(H27:H31)</f>
        <v>86275.733999999997</v>
      </c>
      <c r="I32" s="248"/>
      <c r="J32" s="245">
        <f>IF(H32&gt;0,F32/H32,0)</f>
        <v>0.13503217486390787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1519.4</v>
      </c>
      <c r="E76" s="186">
        <f>LOOKUP('Basis-Annahmen'!E5,'Nachfrage &amp; Erzeugung'!D9:G9,'Nachfrage &amp; Erzeugung'!D11:G11)</f>
        <v>1260.2095636156889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2046</v>
      </c>
      <c r="E77" s="186">
        <f>LOOKUP('Basis-Annahmen'!E5,'Nachfrage &amp; Erzeugung'!D9:G9,'Nachfrage &amp; Erzeugung'!D12:G12)</f>
        <v>2295.0125565533062</v>
      </c>
      <c r="F77" s="175"/>
      <c r="G77" s="176" t="s">
        <v>103</v>
      </c>
      <c r="H77" s="186">
        <f>'Nachfrage &amp; Erzeugung'!C21</f>
        <v>11650</v>
      </c>
      <c r="I77" s="186">
        <f>F31</f>
        <v>11650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172.22</v>
      </c>
      <c r="E78" s="186">
        <f>LOOKUP('Basis-Annahmen'!E5,'Nachfrage &amp; Erzeugung'!D9:G9,'Nachfrage &amp; Erzeugung'!D13:G13)</f>
        <v>117.8923741386694</v>
      </c>
      <c r="F78" s="175"/>
      <c r="G78" s="176" t="str">
        <f>'Nachfrage &amp; Erzeugung'!B29</f>
        <v>Nicht aus lokalen EE gedeckter Strombedarf</v>
      </c>
      <c r="H78" s="186">
        <f>'Nachfrage &amp; Erzeugung'!C29</f>
        <v>0</v>
      </c>
      <c r="I78" s="186">
        <f>MAX(0,E82-SUM(I79:I82)-I77)</f>
        <v>0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2841.2519083969464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5930.36</v>
      </c>
      <c r="E82" s="186">
        <f>LOOKUP('Basis-Annahmen'!E5,'Nachfrage &amp; Erzeugung'!D9:G9,'Nachfrage &amp; Erzeugung'!D10:G10)</f>
        <v>6514.3664027046107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9.8477394745784583E-2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0.43615168886068889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1470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0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0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17632.513550863845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4231.8032522073227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2.8787777225900153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2.33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4231.8032522073227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2.8787777225900153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0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4231.8032522073227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1.7772511848341232E-2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5.9241706161137437E-3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1310</v>
      </c>
      <c r="F34" s="69">
        <v>1350</v>
      </c>
      <c r="G34" s="69">
        <v>1390</v>
      </c>
      <c r="H34" s="69">
        <v>1430</v>
      </c>
      <c r="I34" s="70">
        <v>1470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3.0534351145038167E-2</v>
      </c>
      <c r="G36" s="67">
        <f>(G34-F34)/F34</f>
        <v>2.9629629629629631E-2</v>
      </c>
      <c r="H36" s="67">
        <f>(H34-G34)/G34</f>
        <v>2.8776978417266189E-2</v>
      </c>
      <c r="I36" s="68">
        <f>(I34-H34)/H34</f>
        <v>2.7972027972027972E-2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49.320185614849187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0.64427480916030533</v>
      </c>
      <c r="F44" s="73">
        <f>E44*(1+(F13*(F43-E43)))</f>
        <v>0.64427480916030533</v>
      </c>
      <c r="G44" s="73">
        <f t="shared" ref="G44:I44" si="0">F44*(1+(G13*(G43-F43)))</f>
        <v>0.64427480916030533</v>
      </c>
      <c r="H44" s="73">
        <f t="shared" si="0"/>
        <v>0.64427480916030533</v>
      </c>
      <c r="I44" s="190">
        <f t="shared" si="0"/>
        <v>0.64427480916030533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844</v>
      </c>
      <c r="F45" s="36">
        <f>F44*F34</f>
        <v>869.7709923664122</v>
      </c>
      <c r="G45" s="36">
        <f t="shared" ref="G45:I45" si="1">G44*G34</f>
        <v>895.5419847328244</v>
      </c>
      <c r="H45" s="36">
        <f t="shared" si="1"/>
        <v>921.3129770992366</v>
      </c>
      <c r="I45" s="74">
        <f t="shared" si="1"/>
        <v>947.08396946564881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15</v>
      </c>
      <c r="F46" s="36">
        <f>F$45*F$14</f>
        <v>43.488549618320612</v>
      </c>
      <c r="G46" s="36">
        <f>G$45*G$14</f>
        <v>268.66259541984732</v>
      </c>
      <c r="H46" s="36">
        <f>H$45*H$14</f>
        <v>552.78778625954192</v>
      </c>
      <c r="I46" s="74">
        <f>I$45*I$14</f>
        <v>947.08396946564881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5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5930.36</v>
      </c>
      <c r="D10" s="94">
        <f>D11+D12+D13+D14+D15</f>
        <v>3718.0368400562925</v>
      </c>
      <c r="E10" s="94">
        <f>E11+E12+E13+E14+D15</f>
        <v>4414.5365743285047</v>
      </c>
      <c r="F10" s="94">
        <f>F11+F12+F13+F14+D15</f>
        <v>5295.3426410508055</v>
      </c>
      <c r="G10" s="95">
        <f>G11+G12+G13+G14+D15</f>
        <v>6514.3664027046107</v>
      </c>
      <c r="H10" s="14"/>
    </row>
    <row r="11" spans="1:8" ht="19.5" customHeight="1" x14ac:dyDescent="0.2">
      <c r="B11" s="88" t="s">
        <v>6</v>
      </c>
      <c r="C11" s="96">
        <v>1519.4</v>
      </c>
      <c r="D11" s="97">
        <f>C11/'Basis-Annahmen'!E34*((1-'Basis-Annahmen'!F19)^(D9-C9))*'Basis-Annahmen'!F34</f>
        <v>1451.8299370132415</v>
      </c>
      <c r="E11" s="97">
        <f>D11/'Basis-Annahmen'!F34*((1-'Basis-Annahmen'!G19)^5)*'Basis-Annahmen'!G34</f>
        <v>1386.046918485705</v>
      </c>
      <c r="F11" s="97">
        <f>E11/'Basis-Annahmen'!G34*((1-'Basis-Annahmen'!H19)^5)*'Basis-Annahmen'!H34</f>
        <v>1322.148757912478</v>
      </c>
      <c r="G11" s="98">
        <f>F11/'Basis-Annahmen'!H34*((1-'Basis-Annahmen'!I19)^5)*'Basis-Annahmen'!I34</f>
        <v>1260.2095636156889</v>
      </c>
      <c r="H11" s="14"/>
    </row>
    <row r="12" spans="1:8" ht="19.5" customHeight="1" x14ac:dyDescent="0.2">
      <c r="B12" s="88" t="s">
        <v>104</v>
      </c>
      <c r="C12" s="96">
        <v>2046</v>
      </c>
      <c r="D12" s="97">
        <f>((1-'Basis-Annahmen'!F20)^(D9-C9))*((1+'Basis-Annahmen'!F9)^(D9-C9))*C12</f>
        <v>1987.8500802820352</v>
      </c>
      <c r="E12" s="97">
        <f>((1-'Basis-Annahmen'!G20)^5)*((1+'Basis-Annahmen'!G9)^5)*D12</f>
        <v>2085.3747325833401</v>
      </c>
      <c r="F12" s="97">
        <f>((1-'Basis-Annahmen'!H20)^5)*((1+'Basis-Annahmen'!H9)^5)*E12</f>
        <v>2187.6839800112261</v>
      </c>
      <c r="G12" s="98">
        <f>((1-'Basis-Annahmen'!I20)^5)*((1+'Basis-Annahmen'!I9)^5)*F12</f>
        <v>2295.0125565533062</v>
      </c>
      <c r="H12" s="14"/>
    </row>
    <row r="13" spans="1:8" ht="19.5" customHeight="1" x14ac:dyDescent="0.2">
      <c r="B13" s="88" t="s">
        <v>7</v>
      </c>
      <c r="C13" s="96">
        <v>172.22</v>
      </c>
      <c r="D13" s="97">
        <f>C13*((1-'Basis-Annahmen'!F20)^(D9-C9))</f>
        <v>147.89117390605398</v>
      </c>
      <c r="E13" s="97">
        <f>D13*((1-'Basis-Annahmen'!G20)^5)</f>
        <v>137.12713699991775</v>
      </c>
      <c r="F13" s="97">
        <f>E13*((1-'Basis-Annahmen'!H20)^5)</f>
        <v>127.14654434847563</v>
      </c>
      <c r="G13" s="98">
        <f>F13*((1-'Basis-Annahmen'!I20)^5)</f>
        <v>117.8923741386694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130.46564885496184</v>
      </c>
      <c r="E14" s="97">
        <f>'Basis-Annahmen'!G46*'Basis-Annahmen'!G51+'Basis-Annahmen'!G47*'Basis-Annahmen'!G52</f>
        <v>805.98778625954196</v>
      </c>
      <c r="F14" s="97">
        <f>'Basis-Annahmen'!H46*'Basis-Annahmen'!H51+'Basis-Annahmen'!H47*'Basis-Annahmen'!H52</f>
        <v>1658.3633587786258</v>
      </c>
      <c r="G14" s="98">
        <f>'Basis-Annahmen'!I46*'Basis-Annahmen'!I51+'Basis-Annahmen'!I47*'Basis-Annahmen'!I52</f>
        <v>2841.2519083969464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-0.37305039827998759</v>
      </c>
      <c r="E16" s="101">
        <f>(E10-$C$10)/$C$10</f>
        <v>-0.25560394742840148</v>
      </c>
      <c r="F16" s="101">
        <f t="shared" ref="F16" si="0">(F10-$C$10)/$C$10</f>
        <v>-0.10707905741796353</v>
      </c>
      <c r="G16" s="102">
        <f>(G10-$C$10)/$C$10</f>
        <v>9.8477394745784583E-2</v>
      </c>
      <c r="H16" s="14"/>
    </row>
    <row r="17" spans="1:10" ht="19.5" customHeight="1" x14ac:dyDescent="0.2">
      <c r="B17" s="89" t="s">
        <v>97</v>
      </c>
      <c r="C17" s="107"/>
      <c r="D17" s="104">
        <f>D14/D10</f>
        <v>3.5089929031737764E-2</v>
      </c>
      <c r="E17" s="104">
        <f>E14/E10</f>
        <v>0.18257585426894798</v>
      </c>
      <c r="F17" s="104">
        <f>F14/F10</f>
        <v>0.31317394759738171</v>
      </c>
      <c r="G17" s="105">
        <f>G14/G10</f>
        <v>0.43615168886068889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11650</v>
      </c>
      <c r="G21" s="111"/>
    </row>
    <row r="22" spans="1:10" s="14" customFormat="1" ht="19.5" customHeight="1" x14ac:dyDescent="0.2">
      <c r="B22" s="110" t="s">
        <v>14</v>
      </c>
      <c r="C22" s="122">
        <v>19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2045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9586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0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15296</v>
      </c>
      <c r="D37" s="94">
        <f>SUM(D38:D40)</f>
        <v>15846.635773406229</v>
      </c>
      <c r="E37" s="94">
        <f>SUM(E38:E40)</f>
        <v>16407.056495935925</v>
      </c>
      <c r="F37" s="94">
        <f t="shared" ref="F37:G37" si="1">SUM(F38:F40)</f>
        <v>16991.136444077325</v>
      </c>
      <c r="G37" s="95">
        <f t="shared" si="1"/>
        <v>17632.513550863845</v>
      </c>
      <c r="H37" s="14"/>
    </row>
    <row r="38" spans="1:8" ht="19.5" customHeight="1" x14ac:dyDescent="0.2">
      <c r="A38" s="14"/>
      <c r="B38" s="113" t="s">
        <v>6</v>
      </c>
      <c r="C38" s="96">
        <v>6494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6386.2353944315546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6239.0146403712297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6062.2017749419947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5885.3889095127597</v>
      </c>
      <c r="H38" s="14"/>
    </row>
    <row r="39" spans="1:8" ht="19.5" customHeight="1" x14ac:dyDescent="0.2">
      <c r="A39" s="14"/>
      <c r="B39" s="113" t="s">
        <v>104</v>
      </c>
      <c r="C39" s="96">
        <v>8579.52</v>
      </c>
      <c r="D39" s="97">
        <f>C39*((1-'Basis-Annahmen'!F$24)^(D36-C36))*((1+'Basis-Annahmen'!F$9)^(D36-C36))</f>
        <v>9231.2027754994306</v>
      </c>
      <c r="E39" s="97">
        <f>((1-'Basis-Annahmen'!G$24)^5)*((1+'Basis-Annahmen'!G$9)^5)*'Nachfrage &amp; Erzeugung'!D39</f>
        <v>9932.3860405230571</v>
      </c>
      <c r="F39" s="97">
        <f>((1-'Basis-Annahmen'!H$24)^5)*((1+'Basis-Annahmen'!H$9)^5)*'Nachfrage &amp; Erzeugung'!E39</f>
        <v>10686.829750919427</v>
      </c>
      <c r="G39" s="98">
        <f>((1-'Basis-Annahmen'!I$24)^5)*((1+'Basis-Annahmen'!I$9)^5)*'Nachfrage &amp; Erzeugung'!F39</f>
        <v>11498.579461086087</v>
      </c>
      <c r="H39" s="14"/>
    </row>
    <row r="40" spans="1:8" ht="19.5" customHeight="1" x14ac:dyDescent="0.2">
      <c r="A40" s="14"/>
      <c r="B40" s="113" t="s">
        <v>7</v>
      </c>
      <c r="C40" s="96">
        <v>222.73</v>
      </c>
      <c r="D40" s="97">
        <f>C40+(C40*'Basis-Annahmen'!F36)*((1-'Basis-Annahmen'!F24)^(D36-C36))</f>
        <v>229.19760347524357</v>
      </c>
      <c r="E40" s="97">
        <f>D40+(D40*'Basis-Annahmen'!G36)*((1-'Basis-Annahmen'!G24)^5)</f>
        <v>235.65581504164007</v>
      </c>
      <c r="F40" s="97">
        <f>E40+(E40*'Basis-Annahmen'!H36)*((1-'Basis-Annahmen'!H24)^5)</f>
        <v>242.10491821590409</v>
      </c>
      <c r="G40" s="98">
        <f>F40+(F40*'Basis-Annahmen'!I36)*((1-'Basis-Annahmen'!I24)^5)</f>
        <v>248.54518026499997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3.5998677654695964E-2</v>
      </c>
      <c r="E42" s="104">
        <f>(E37-$C$37)/$C$37</f>
        <v>7.2637061711292195E-2</v>
      </c>
      <c r="F42" s="104">
        <f>(F37-$C$37)/$C$37</f>
        <v>0.11082220476446947</v>
      </c>
      <c r="G42" s="105">
        <f>(G37-$C$37)/$C$37</f>
        <v>0.15275323946547104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8044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7252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0.22979989885786767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0.13798668729513489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5.2964092174354507E-2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0.14689761708030852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0.19612781965276113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0.1638722435117243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 t="s">
        <v>200</v>
      </c>
      <c r="C58" s="167">
        <v>7.2351641427848987E-2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45000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5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11055.75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73705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30219.984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41.972200000000001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